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engel/Library/Messages/Attachments/bd/13/23F1E659-E678-4901-8D97-A70275D1C93B/"/>
    </mc:Choice>
  </mc:AlternateContent>
  <xr:revisionPtr revIDLastSave="0" documentId="13_ncr:1_{CA8C80CD-924A-B641-87FD-53A0647A4721}" xr6:coauthVersionLast="47" xr6:coauthVersionMax="47" xr10:uidLastSave="{00000000-0000-0000-0000-000000000000}"/>
  <bookViews>
    <workbookView xWindow="22160" yWindow="460" windowWidth="30860" windowHeight="30120" xr2:uid="{FC73B88D-7968-BA4D-B511-7B96E54551A9}"/>
  </bookViews>
  <sheets>
    <sheet name="Weber ROI Calc" sheetId="1" r:id="rId1"/>
    <sheet name="Background Notes" sheetId="2" r:id="rId2"/>
  </sheets>
  <definedNames>
    <definedName name="_xlnm.Print_Area" localSheetId="0">'Weber ROI Calc'!$B$2:$K$49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F13" i="2"/>
  <c r="F12" i="2"/>
  <c r="F11" i="2"/>
  <c r="F14" i="2" s="1"/>
  <c r="C6" i="2"/>
  <c r="C33" i="1" s="1"/>
  <c r="C40" i="1"/>
  <c r="C28" i="1"/>
  <c r="C29" i="1" s="1"/>
  <c r="C5" i="2" s="1"/>
  <c r="F19" i="1"/>
  <c r="F18" i="1"/>
  <c r="F17" i="1"/>
  <c r="F5" i="2" s="1"/>
  <c r="F16" i="1"/>
  <c r="F15" i="1"/>
  <c r="F28" i="1" s="1"/>
  <c r="F29" i="1" s="1"/>
  <c r="F4" i="2" s="1"/>
  <c r="F14" i="1"/>
  <c r="F13" i="1"/>
  <c r="C4" i="2" l="1"/>
  <c r="C8" i="2" s="1"/>
  <c r="C9" i="2" s="1"/>
  <c r="F6" i="2"/>
  <c r="F8" i="2" s="1"/>
  <c r="F9" i="2" s="1"/>
  <c r="C32" i="1"/>
  <c r="C31" i="1"/>
  <c r="C35" i="1" s="1"/>
  <c r="C36" i="1" s="1"/>
  <c r="F31" i="1"/>
  <c r="F32" i="1"/>
  <c r="F33" i="1" l="1"/>
  <c r="I33" i="1" s="1"/>
  <c r="F35" i="1"/>
  <c r="F34" i="1"/>
  <c r="C34" i="1"/>
  <c r="C43" i="1" l="1"/>
  <c r="F36" i="1"/>
  <c r="C41" i="1" s="1"/>
  <c r="F41" i="1"/>
  <c r="C46" i="1" l="1"/>
  <c r="C44" i="1"/>
</calcChain>
</file>

<file path=xl/sharedStrings.xml><?xml version="1.0" encoding="utf-8"?>
<sst xmlns="http://schemas.openxmlformats.org/spreadsheetml/2006/main" count="51" uniqueCount="51">
  <si>
    <t>MANUFACTURING ROI ON COMPLEX MACHINE CELL AUTOMATION INVESTMENT</t>
  </si>
  <si>
    <t>INVESTMENTS IN AUTOMATION PAY FOR THEMSELVES</t>
  </si>
  <si>
    <r>
      <t xml:space="preserve">  *Inputs are in </t>
    </r>
    <r>
      <rPr>
        <i/>
        <sz val="20"/>
        <color rgb="FF0F7DC8"/>
        <rFont val="Arial"/>
        <family val="2"/>
      </rPr>
      <t>blue</t>
    </r>
    <r>
      <rPr>
        <i/>
        <sz val="20"/>
        <color theme="1"/>
        <rFont val="Arial"/>
        <family val="2"/>
      </rPr>
      <t>, calculated cells are black.</t>
    </r>
  </si>
  <si>
    <t>INVESTMENT IN AUTOMATION</t>
  </si>
  <si>
    <t xml:space="preserve">CURRENT ASSEMBLY PROCESS </t>
  </si>
  <si>
    <t>CURRENT</t>
  </si>
  <si>
    <t>TYPICAL IMPROVEMENT</t>
  </si>
  <si>
    <t>AFTER INVESTMENT</t>
  </si>
  <si>
    <t>NOTES</t>
  </si>
  <si>
    <t>DAILY OUTPUT &amp; ASSUMPTIONS</t>
  </si>
  <si>
    <t>Shifts</t>
  </si>
  <si>
    <t># of Machinists Per Shift</t>
  </si>
  <si>
    <t xml:space="preserve"># of Technicians Per Shift </t>
  </si>
  <si>
    <t>Production Speed (pieces/hour, 1 cell)</t>
  </si>
  <si>
    <t>Widget value (piece)</t>
  </si>
  <si>
    <t>Widget Material Cost Per Piece</t>
  </si>
  <si>
    <t>All-In Hourly Operator Cost (Full Burden)</t>
  </si>
  <si>
    <t>All-In Annual Employee Cost: Technician</t>
  </si>
  <si>
    <t>EFFICIENCY CALCULATED BY OVERALL EQUIPMENT EFFECTIVENESS (OEE)</t>
  </si>
  <si>
    <t xml:space="preserve">Manual and semi-automated production facilities typically see 40%-70% OEE, while automated processes can reach 85%-99.9%. </t>
  </si>
  <si>
    <t>Overall Equipment Effectiveness (OEE)</t>
  </si>
  <si>
    <t>RETURN ON INVESTMENT</t>
  </si>
  <si>
    <t>Maximum Daily Output (pieces)</t>
  </si>
  <si>
    <t>Efficiecy Adjusted Daily Output (pieces)</t>
  </si>
  <si>
    <t>Annual Revenue</t>
  </si>
  <si>
    <t>Annual Material Costs</t>
  </si>
  <si>
    <t>Annual Labor Costs</t>
  </si>
  <si>
    <t>Labor Cost Savings</t>
  </si>
  <si>
    <t xml:space="preserve">    Labor Cost % of Revenue</t>
  </si>
  <si>
    <t>Annual Contribution Margin</t>
  </si>
  <si>
    <t>Contribution Profit Margin</t>
  </si>
  <si>
    <t>ROI SUMMARY</t>
  </si>
  <si>
    <t>OVERALL EQUIPMENT EFFECTIVENESS IMPROVEMENT</t>
  </si>
  <si>
    <t>CONTRIBUTION MARGIN IMPROVEMENT</t>
  </si>
  <si>
    <t>BREAK-EVEN  (DAYS)</t>
  </si>
  <si>
    <t>AUTOMATION RETURN ON INVESTMENT (Year 1)</t>
  </si>
  <si>
    <t>AUTOMATION RETURN ON INVESTMENT (2 Years)</t>
  </si>
  <si>
    <t>WEBER SCREWDRIVING SYSTEMS INC.</t>
  </si>
  <si>
    <t>www.weberusa.com</t>
  </si>
  <si>
    <t xml:space="preserve"> +1 (704) 360-5820</t>
  </si>
  <si>
    <t>sales@weberusa.com</t>
  </si>
  <si>
    <t>BACKGROUND CALC NOTES/ NOT PRINTED</t>
  </si>
  <si>
    <t>Daily Production (Revenue)</t>
  </si>
  <si>
    <t>Daily Material Costs</t>
  </si>
  <si>
    <t>Daily Labor Cost</t>
  </si>
  <si>
    <t>Daily Cell Contribution Margin</t>
  </si>
  <si>
    <t xml:space="preserve">   Contribution Profit Margin</t>
  </si>
  <si>
    <t>Hours p/ Shift</t>
  </si>
  <si>
    <t>Workdays per week</t>
  </si>
  <si>
    <t># of Cells</t>
  </si>
  <si>
    <t>Daily Hours for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</si>
</sst>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0.0%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134169"/>
      <name val="Arial"/>
      <family val="2"/>
    </font>
    <font>
      <sz val="20"/>
      <color theme="1"/>
      <name val="Arial"/>
      <family val="2"/>
    </font>
    <font>
      <b/>
      <sz val="26"/>
      <color rgb="FF0F7DC8"/>
      <name val="Arial"/>
      <family val="2"/>
    </font>
    <font>
      <sz val="20"/>
      <color rgb="FFFF7900"/>
      <name val="Arial"/>
      <family val="2"/>
    </font>
    <font>
      <i/>
      <sz val="20"/>
      <color theme="1"/>
      <name val="Arial"/>
      <family val="2"/>
    </font>
    <font>
      <i/>
      <sz val="20"/>
      <color rgb="FF0F7DC8"/>
      <name val="Arial"/>
      <family val="2"/>
    </font>
    <font>
      <b/>
      <sz val="20"/>
      <color rgb="FF000000"/>
      <name val="Arial"/>
      <family val="2"/>
    </font>
    <font>
      <b/>
      <sz val="20"/>
      <color rgb="FF2F75B5"/>
      <name val="Arial"/>
      <family val="2"/>
    </font>
    <font>
      <b/>
      <u/>
      <sz val="20"/>
      <color theme="1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20"/>
      <color theme="8" tint="-0.249977111117893"/>
      <name val="Arial"/>
      <family val="2"/>
    </font>
    <font>
      <sz val="20"/>
      <color rgb="FF0F7DC8"/>
      <name val="Arial"/>
      <family val="2"/>
    </font>
    <font>
      <sz val="20"/>
      <color rgb="FF0D72B7"/>
      <name val="Arial"/>
      <family val="2"/>
    </font>
    <font>
      <b/>
      <sz val="20"/>
      <color theme="1"/>
      <name val="Arial"/>
      <family val="2"/>
    </font>
    <font>
      <b/>
      <sz val="20"/>
      <color rgb="FF0D72B7"/>
      <name val="Arial"/>
      <family val="2"/>
    </font>
    <font>
      <i/>
      <sz val="2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u/>
      <sz val="20"/>
      <name val="Arial"/>
      <family val="2"/>
    </font>
    <font>
      <i/>
      <sz val="20"/>
      <color theme="8" tint="-0.249977111117893"/>
      <name val="Arial"/>
      <family val="2"/>
    </font>
    <font>
      <sz val="20"/>
      <color theme="4"/>
      <name val="Arial"/>
      <family val="2"/>
    </font>
    <font>
      <i/>
      <sz val="20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72B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F7DC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0" fillId="2" borderId="0" xfId="0" applyFont="1" applyFill="1"/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3" fillId="2" borderId="0" xfId="1" applyNumberFormat="1" applyFont="1" applyFill="1"/>
    <xf numFmtId="164" fontId="6" fillId="2" borderId="0" xfId="1" applyNumberFormat="1" applyFont="1" applyFill="1" applyAlignment="1">
      <alignment wrapText="1"/>
    </xf>
    <xf numFmtId="164" fontId="14" fillId="2" borderId="0" xfId="1" applyNumberFormat="1" applyFont="1" applyFill="1"/>
    <xf numFmtId="164" fontId="3" fillId="2" borderId="0" xfId="1" applyNumberFormat="1" applyFont="1" applyFill="1"/>
    <xf numFmtId="0" fontId="3" fillId="4" borderId="0" xfId="0" applyFont="1" applyFill="1"/>
    <xf numFmtId="165" fontId="13" fillId="4" borderId="0" xfId="0" applyNumberFormat="1" applyFont="1" applyFill="1"/>
    <xf numFmtId="165" fontId="3" fillId="4" borderId="0" xfId="0" applyNumberFormat="1" applyFont="1" applyFill="1"/>
    <xf numFmtId="165" fontId="6" fillId="4" borderId="0" xfId="0" applyNumberFormat="1" applyFont="1" applyFill="1" applyAlignment="1">
      <alignment wrapText="1"/>
    </xf>
    <xf numFmtId="165" fontId="13" fillId="2" borderId="0" xfId="0" applyNumberFormat="1" applyFont="1" applyFill="1"/>
    <xf numFmtId="165" fontId="3" fillId="2" borderId="0" xfId="0" applyNumberFormat="1" applyFont="1" applyFill="1"/>
    <xf numFmtId="165" fontId="6" fillId="2" borderId="0" xfId="0" applyNumberFormat="1" applyFont="1" applyFill="1" applyAlignment="1">
      <alignment wrapText="1"/>
    </xf>
    <xf numFmtId="164" fontId="3" fillId="4" borderId="0" xfId="0" applyNumberFormat="1" applyFont="1" applyFill="1"/>
    <xf numFmtId="164" fontId="3" fillId="4" borderId="0" xfId="1" applyNumberFormat="1" applyFont="1" applyFill="1"/>
    <xf numFmtId="166" fontId="13" fillId="4" borderId="0" xfId="1" applyNumberFormat="1" applyFont="1" applyFill="1"/>
    <xf numFmtId="164" fontId="6" fillId="4" borderId="0" xfId="1" applyNumberFormat="1" applyFont="1" applyFill="1" applyAlignment="1">
      <alignment wrapText="1"/>
    </xf>
    <xf numFmtId="8" fontId="13" fillId="2" borderId="0" xfId="0" applyNumberFormat="1" applyFont="1" applyFill="1"/>
    <xf numFmtId="8" fontId="3" fillId="2" borderId="0" xfId="0" applyNumberFormat="1" applyFont="1" applyFill="1"/>
    <xf numFmtId="8" fontId="6" fillId="2" borderId="0" xfId="0" applyNumberFormat="1" applyFont="1" applyFill="1" applyAlignment="1">
      <alignment wrapText="1"/>
    </xf>
    <xf numFmtId="8" fontId="3" fillId="4" borderId="0" xfId="0" applyNumberFormat="1" applyFont="1" applyFill="1"/>
    <xf numFmtId="6" fontId="16" fillId="4" borderId="0" xfId="0" applyNumberFormat="1" applyFont="1" applyFill="1"/>
    <xf numFmtId="6" fontId="6" fillId="4" borderId="0" xfId="0" applyNumberFormat="1" applyFont="1" applyFill="1" applyAlignment="1">
      <alignment wrapText="1"/>
    </xf>
    <xf numFmtId="6" fontId="16" fillId="2" borderId="0" xfId="0" applyNumberFormat="1" applyFont="1" applyFill="1"/>
    <xf numFmtId="6" fontId="6" fillId="2" borderId="0" xfId="0" applyNumberFormat="1" applyFont="1" applyFill="1" applyAlignment="1">
      <alignment wrapText="1"/>
    </xf>
    <xf numFmtId="0" fontId="11" fillId="3" borderId="0" xfId="0" applyFont="1" applyFill="1"/>
    <xf numFmtId="167" fontId="11" fillId="3" borderId="0" xfId="2" applyNumberFormat="1" applyFont="1" applyFill="1"/>
    <xf numFmtId="0" fontId="12" fillId="3" borderId="0" xfId="0" applyFont="1" applyFill="1"/>
    <xf numFmtId="167" fontId="16" fillId="3" borderId="0" xfId="2" applyNumberFormat="1" applyFont="1" applyFill="1"/>
    <xf numFmtId="167" fontId="6" fillId="3" borderId="0" xfId="2" applyNumberFormat="1" applyFont="1" applyFill="1" applyAlignment="1">
      <alignment wrapText="1"/>
    </xf>
    <xf numFmtId="0" fontId="6" fillId="2" borderId="0" xfId="0" applyFont="1" applyFill="1" applyAlignment="1">
      <alignment wrapText="1"/>
    </xf>
    <xf numFmtId="0" fontId="16" fillId="4" borderId="0" xfId="0" applyFont="1" applyFill="1"/>
    <xf numFmtId="0" fontId="15" fillId="4" borderId="0" xfId="0" applyFont="1" applyFill="1"/>
    <xf numFmtId="167" fontId="11" fillId="4" borderId="0" xfId="2" applyNumberFormat="1" applyFont="1" applyFill="1"/>
    <xf numFmtId="167" fontId="16" fillId="4" borderId="0" xfId="2" applyNumberFormat="1" applyFont="1" applyFill="1"/>
    <xf numFmtId="167" fontId="6" fillId="4" borderId="0" xfId="2" applyNumberFormat="1" applyFont="1" applyFill="1" applyAlignment="1">
      <alignment wrapText="1"/>
    </xf>
    <xf numFmtId="167" fontId="16" fillId="2" borderId="0" xfId="2" applyNumberFormat="1" applyFont="1" applyFill="1"/>
    <xf numFmtId="167" fontId="3" fillId="2" borderId="0" xfId="2" applyNumberFormat="1" applyFont="1" applyFill="1"/>
    <xf numFmtId="167" fontId="6" fillId="2" borderId="0" xfId="2" applyNumberFormat="1" applyFont="1" applyFill="1" applyAlignment="1">
      <alignment wrapText="1"/>
    </xf>
    <xf numFmtId="0" fontId="11" fillId="2" borderId="0" xfId="0" applyFont="1" applyFill="1"/>
    <xf numFmtId="0" fontId="12" fillId="2" borderId="0" xfId="0" applyFont="1" applyFill="1"/>
    <xf numFmtId="164" fontId="3" fillId="2" borderId="0" xfId="1" applyNumberFormat="1" applyFont="1" applyFill="1" applyAlignment="1">
      <alignment wrapText="1"/>
    </xf>
    <xf numFmtId="0" fontId="16" fillId="2" borderId="0" xfId="0" applyFont="1" applyFill="1"/>
    <xf numFmtId="164" fontId="16" fillId="2" borderId="0" xfId="1" applyNumberFormat="1" applyFont="1" applyFill="1"/>
    <xf numFmtId="6" fontId="3" fillId="4" borderId="0" xfId="0" applyNumberFormat="1" applyFont="1" applyFill="1"/>
    <xf numFmtId="6" fontId="3" fillId="2" borderId="0" xfId="0" applyNumberFormat="1" applyFont="1" applyFill="1"/>
    <xf numFmtId="167" fontId="6" fillId="2" borderId="0" xfId="2" applyNumberFormat="1" applyFont="1" applyFill="1"/>
    <xf numFmtId="6" fontId="6" fillId="4" borderId="0" xfId="0" applyNumberFormat="1" applyFont="1" applyFill="1"/>
    <xf numFmtId="167" fontId="18" fillId="2" borderId="0" xfId="2" applyNumberFormat="1" applyFont="1" applyFill="1"/>
    <xf numFmtId="9" fontId="18" fillId="2" borderId="0" xfId="2" applyFont="1" applyFill="1"/>
    <xf numFmtId="167" fontId="16" fillId="4" borderId="0" xfId="0" applyNumberFormat="1" applyFont="1" applyFill="1"/>
    <xf numFmtId="6" fontId="16" fillId="4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10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right"/>
    </xf>
    <xf numFmtId="10" fontId="16" fillId="4" borderId="0" xfId="0" applyNumberFormat="1" applyFont="1" applyFill="1"/>
    <xf numFmtId="6" fontId="16" fillId="4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11" fillId="5" borderId="0" xfId="0" applyFont="1" applyFill="1"/>
    <xf numFmtId="10" fontId="11" fillId="5" borderId="0" xfId="0" applyNumberFormat="1" applyFont="1" applyFill="1"/>
    <xf numFmtId="0" fontId="12" fillId="5" borderId="0" xfId="0" applyFont="1" applyFill="1"/>
    <xf numFmtId="10" fontId="16" fillId="2" borderId="0" xfId="0" applyNumberFormat="1" applyFont="1" applyFill="1" applyAlignment="1">
      <alignment horizontal="right"/>
    </xf>
    <xf numFmtId="6" fontId="16" fillId="2" borderId="0" xfId="0" applyNumberFormat="1" applyFont="1" applyFill="1" applyAlignment="1">
      <alignment horizontal="right"/>
    </xf>
    <xf numFmtId="10" fontId="17" fillId="6" borderId="0" xfId="0" applyNumberFormat="1" applyFont="1" applyFill="1" applyAlignment="1">
      <alignment horizontal="left" vertical="center"/>
    </xf>
    <xf numFmtId="6" fontId="17" fillId="6" borderId="0" xfId="0" applyNumberFormat="1" applyFont="1" applyFill="1" applyAlignment="1">
      <alignment horizontal="right"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top"/>
    </xf>
    <xf numFmtId="0" fontId="17" fillId="6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19" fillId="2" borderId="0" xfId="0" applyFont="1" applyFill="1"/>
    <xf numFmtId="0" fontId="20" fillId="2" borderId="0" xfId="0" applyFont="1" applyFill="1" applyAlignment="1">
      <alignment horizontal="right"/>
    </xf>
    <xf numFmtId="0" fontId="21" fillId="7" borderId="0" xfId="0" applyFont="1" applyFill="1"/>
    <xf numFmtId="0" fontId="19" fillId="7" borderId="0" xfId="0" applyFont="1" applyFill="1"/>
    <xf numFmtId="164" fontId="22" fillId="2" borderId="0" xfId="1" applyNumberFormat="1" applyFont="1" applyFill="1"/>
    <xf numFmtId="167" fontId="23" fillId="2" borderId="0" xfId="2" applyNumberFormat="1" applyFont="1" applyFill="1"/>
    <xf numFmtId="167" fontId="24" fillId="2" borderId="0" xfId="2" applyNumberFormat="1" applyFont="1" applyFill="1"/>
    <xf numFmtId="164" fontId="13" fillId="2" borderId="0" xfId="1" applyNumberFormat="1" applyFont="1" applyFill="1" applyProtection="1">
      <protection locked="0"/>
    </xf>
    <xf numFmtId="165" fontId="13" fillId="4" borderId="0" xfId="0" applyNumberFormat="1" applyFont="1" applyFill="1" applyProtection="1">
      <protection locked="0"/>
    </xf>
    <xf numFmtId="165" fontId="13" fillId="2" borderId="0" xfId="0" applyNumberFormat="1" applyFont="1" applyFill="1" applyProtection="1">
      <protection locked="0"/>
    </xf>
    <xf numFmtId="164" fontId="13" fillId="4" borderId="0" xfId="1" applyNumberFormat="1" applyFont="1" applyFill="1" applyProtection="1">
      <protection locked="0"/>
    </xf>
    <xf numFmtId="8" fontId="13" fillId="2" borderId="0" xfId="0" applyNumberFormat="1" applyFont="1" applyFill="1" applyProtection="1">
      <protection locked="0"/>
    </xf>
    <xf numFmtId="8" fontId="13" fillId="4" borderId="0" xfId="0" applyNumberFormat="1" applyFont="1" applyFill="1" applyProtection="1">
      <protection locked="0"/>
    </xf>
    <xf numFmtId="9" fontId="15" fillId="4" borderId="0" xfId="2" applyFont="1" applyFill="1" applyProtection="1">
      <protection locked="0"/>
    </xf>
    <xf numFmtId="9" fontId="15" fillId="2" borderId="0" xfId="0" applyNumberFormat="1" applyFont="1" applyFill="1" applyProtection="1">
      <protection locked="0"/>
    </xf>
    <xf numFmtId="164" fontId="14" fillId="2" borderId="0" xfId="1" applyNumberFormat="1" applyFont="1" applyFill="1" applyProtection="1">
      <protection locked="0"/>
    </xf>
    <xf numFmtId="167" fontId="17" fillId="4" borderId="0" xfId="2" applyNumberFormat="1" applyFont="1" applyFill="1" applyProtection="1">
      <protection locked="0"/>
    </xf>
    <xf numFmtId="6" fontId="9" fillId="2" borderId="0" xfId="0" applyNumberFormat="1" applyFont="1" applyFill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1286076</xdr:colOff>
      <xdr:row>47</xdr:row>
      <xdr:rowOff>156746</xdr:rowOff>
    </xdr:from>
    <xdr:to>
      <xdr:col>10</xdr:col>
      <xdr:colOff>3343797</xdr:colOff>
      <xdr:row>48</xdr:row>
      <xdr:rowOff>301987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4C2D7-38B7-C34A-A431-D6D61BD76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776" y="14253746"/>
          <a:ext cx="2057721" cy="678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7D4A-70C8-F24E-974C-01CF50A6DA38}">
  <sheetPr>
    <pageSetUpPr fitToPage="1"/>
  </sheetPr>
  <dimension ref="B2:L69"/>
  <sheetViews>
    <sheetView tabSelected="1" zoomScale="79" zoomScaleNormal="80" workbookViewId="0">
      <selection activeCell="C14" sqref="C14"/>
    </sheetView>
  </sheetViews>
  <sheetFormatPr baseColWidth="10" defaultRowHeight="25" x14ac:dyDescent="0.25"/>
  <cols>
    <col min="1" max="1" width="5.83203125" style="2" customWidth="1"/>
    <col min="2" max="2" width="95.33203125" style="2" customWidth="1"/>
    <col min="3" max="3" width="23.83203125" style="2" customWidth="1"/>
    <col min="4" max="4" width="7.5" style="2" customWidth="1"/>
    <col min="5" max="5" width="28.1640625" style="2" customWidth="1"/>
    <col min="6" max="6" width="26.33203125" style="2" customWidth="1"/>
    <col min="7" max="7" width="8.1640625" style="2" customWidth="1"/>
    <col min="8" max="8" width="4.6640625" style="2" customWidth="1"/>
    <col min="9" max="9" width="23.33203125" style="2" customWidth="1"/>
    <col min="10" max="10" width="5.33203125" style="2" customWidth="1"/>
    <col min="11" max="11" width="46.83203125" style="2" customWidth="1"/>
    <col min="12" max="12" width="45.33203125" style="2" customWidth="1"/>
    <col min="13" max="16384" width="10.83203125" style="2"/>
  </cols>
  <sheetData>
    <row r="2" spans="2:12" ht="16" customHeight="1" x14ac:dyDescent="0.25">
      <c r="B2" s="1"/>
    </row>
    <row r="3" spans="2:12" ht="40" customHeight="1" x14ac:dyDescent="0.25">
      <c r="B3" s="3" t="s">
        <v>0</v>
      </c>
    </row>
    <row r="4" spans="2:12" ht="24" customHeight="1" x14ac:dyDescent="0.25">
      <c r="B4" s="4" t="s">
        <v>1</v>
      </c>
    </row>
    <row r="5" spans="2:12" ht="20" customHeight="1" x14ac:dyDescent="0.25">
      <c r="B5" s="5" t="s">
        <v>2</v>
      </c>
    </row>
    <row r="6" spans="2:12" ht="10" customHeight="1" x14ac:dyDescent="0.25"/>
    <row r="7" spans="2:12" x14ac:dyDescent="0.25">
      <c r="B7" s="6" t="s">
        <v>3</v>
      </c>
      <c r="C7" s="97">
        <v>2000000</v>
      </c>
      <c r="D7" s="7"/>
      <c r="E7" s="7"/>
    </row>
    <row r="8" spans="2:12" ht="13" customHeight="1" x14ac:dyDescent="0.25">
      <c r="B8" s="8"/>
      <c r="C8" s="8"/>
    </row>
    <row r="9" spans="2:12" s="12" customFormat="1" ht="61" customHeight="1" x14ac:dyDescent="0.2">
      <c r="B9" s="9" t="s">
        <v>4</v>
      </c>
      <c r="C9" s="10" t="s">
        <v>5</v>
      </c>
      <c r="D9" s="10"/>
      <c r="E9" s="10" t="s">
        <v>6</v>
      </c>
      <c r="F9" s="10" t="s">
        <v>7</v>
      </c>
      <c r="G9" s="10"/>
      <c r="H9" s="10"/>
      <c r="I9" s="10"/>
      <c r="J9" s="9"/>
      <c r="K9" s="9" t="s">
        <v>8</v>
      </c>
      <c r="L9" s="11"/>
    </row>
    <row r="10" spans="2:12" ht="12" customHeight="1" x14ac:dyDescent="0.25">
      <c r="C10" s="13"/>
    </row>
    <row r="11" spans="2:12" x14ac:dyDescent="0.25">
      <c r="B11" s="8" t="s">
        <v>9</v>
      </c>
      <c r="C11" s="13"/>
      <c r="F11" s="13"/>
      <c r="G11" s="13"/>
      <c r="H11" s="13"/>
      <c r="I11" s="13"/>
      <c r="J11" s="13"/>
      <c r="K11" s="14"/>
      <c r="L11" s="13"/>
    </row>
    <row r="12" spans="2:12" ht="30" customHeight="1" x14ac:dyDescent="0.25">
      <c r="B12" s="2" t="s">
        <v>10</v>
      </c>
      <c r="C12" s="87">
        <v>2</v>
      </c>
      <c r="F12" s="95">
        <v>2</v>
      </c>
      <c r="G12" s="15"/>
      <c r="H12" s="15"/>
      <c r="I12" s="15"/>
      <c r="J12" s="16"/>
      <c r="K12" s="14"/>
      <c r="L12" s="16"/>
    </row>
    <row r="13" spans="2:12" ht="30" customHeight="1" x14ac:dyDescent="0.25">
      <c r="B13" s="17" t="s">
        <v>11</v>
      </c>
      <c r="C13" s="88">
        <v>2</v>
      </c>
      <c r="D13" s="17"/>
      <c r="E13" s="93">
        <v>0.5</v>
      </c>
      <c r="F13" s="19">
        <f>C13*(1-E13)</f>
        <v>1</v>
      </c>
      <c r="G13" s="18"/>
      <c r="H13" s="18"/>
      <c r="I13" s="18"/>
      <c r="J13" s="18"/>
      <c r="K13" s="20"/>
      <c r="L13" s="16"/>
    </row>
    <row r="14" spans="2:12" ht="30" customHeight="1" x14ac:dyDescent="0.25">
      <c r="B14" s="2" t="s">
        <v>12</v>
      </c>
      <c r="C14" s="89">
        <v>1</v>
      </c>
      <c r="E14" s="94">
        <v>0.5</v>
      </c>
      <c r="F14" s="22">
        <f>C14*(1-E14)</f>
        <v>0.5</v>
      </c>
      <c r="G14" s="21"/>
      <c r="H14" s="21"/>
      <c r="I14" s="21"/>
      <c r="J14" s="21"/>
      <c r="K14" s="23"/>
      <c r="L14" s="16"/>
    </row>
    <row r="15" spans="2:12" ht="30" customHeight="1" x14ac:dyDescent="0.25">
      <c r="B15" s="17" t="s">
        <v>13</v>
      </c>
      <c r="C15" s="90">
        <v>7200</v>
      </c>
      <c r="D15" s="24"/>
      <c r="E15" s="93">
        <v>0.25</v>
      </c>
      <c r="F15" s="25">
        <f>C15*(1+E15)</f>
        <v>9000</v>
      </c>
      <c r="G15" s="26"/>
      <c r="H15" s="26"/>
      <c r="I15" s="26"/>
      <c r="J15" s="26"/>
      <c r="K15" s="27"/>
    </row>
    <row r="16" spans="2:12" ht="30" customHeight="1" x14ac:dyDescent="0.25">
      <c r="B16" s="2" t="s">
        <v>14</v>
      </c>
      <c r="C16" s="91">
        <v>0.25</v>
      </c>
      <c r="F16" s="29">
        <f>C16</f>
        <v>0.25</v>
      </c>
      <c r="G16" s="29"/>
      <c r="H16" s="29"/>
      <c r="I16" s="29"/>
      <c r="J16" s="29"/>
      <c r="K16" s="30"/>
    </row>
    <row r="17" spans="2:12" ht="30" customHeight="1" x14ac:dyDescent="0.25">
      <c r="B17" s="17" t="s">
        <v>15</v>
      </c>
      <c r="C17" s="92">
        <v>0.11</v>
      </c>
      <c r="D17" s="17"/>
      <c r="E17" s="17"/>
      <c r="F17" s="31">
        <f>C17</f>
        <v>0.11</v>
      </c>
      <c r="G17" s="31"/>
      <c r="H17" s="31"/>
      <c r="I17" s="31"/>
      <c r="J17" s="32"/>
      <c r="K17" s="33"/>
    </row>
    <row r="18" spans="2:12" ht="30" customHeight="1" x14ac:dyDescent="0.25">
      <c r="B18" s="2" t="s">
        <v>16</v>
      </c>
      <c r="C18" s="91">
        <v>35</v>
      </c>
      <c r="F18" s="29">
        <f>C18</f>
        <v>35</v>
      </c>
      <c r="G18" s="29"/>
      <c r="H18" s="29"/>
      <c r="I18" s="29"/>
      <c r="J18" s="34"/>
      <c r="K18" s="35"/>
    </row>
    <row r="19" spans="2:12" ht="30" customHeight="1" x14ac:dyDescent="0.25">
      <c r="B19" s="17" t="s">
        <v>17</v>
      </c>
      <c r="C19" s="92">
        <v>60</v>
      </c>
      <c r="D19" s="17"/>
      <c r="E19" s="17"/>
      <c r="F19" s="31">
        <f>C19</f>
        <v>60</v>
      </c>
      <c r="G19" s="31"/>
      <c r="H19" s="31"/>
      <c r="I19" s="31"/>
      <c r="J19" s="32"/>
      <c r="K19" s="33"/>
    </row>
    <row r="20" spans="2:12" ht="10" customHeight="1" x14ac:dyDescent="0.25">
      <c r="C20" s="16"/>
      <c r="F20" s="16"/>
      <c r="G20" s="16"/>
      <c r="H20" s="16"/>
      <c r="I20" s="16"/>
      <c r="J20" s="16"/>
      <c r="K20" s="14"/>
      <c r="L20" s="16"/>
    </row>
    <row r="21" spans="2:12" ht="33" customHeight="1" x14ac:dyDescent="0.25">
      <c r="B21" s="36" t="s">
        <v>18</v>
      </c>
      <c r="C21" s="37"/>
      <c r="D21" s="38"/>
      <c r="E21" s="38"/>
      <c r="F21" s="37"/>
      <c r="G21" s="37"/>
      <c r="H21" s="37"/>
      <c r="I21" s="37"/>
      <c r="J21" s="39"/>
      <c r="K21" s="40"/>
      <c r="L21" s="16"/>
    </row>
    <row r="22" spans="2:12" x14ac:dyDescent="0.25">
      <c r="B22" s="2" t="s">
        <v>19</v>
      </c>
      <c r="C22" s="16"/>
      <c r="F22" s="16"/>
      <c r="G22" s="16"/>
      <c r="H22" s="16"/>
      <c r="I22" s="16"/>
      <c r="J22" s="16"/>
      <c r="K22" s="14"/>
      <c r="L22" s="16"/>
    </row>
    <row r="23" spans="2:12" ht="10" customHeight="1" x14ac:dyDescent="0.25">
      <c r="K23" s="41"/>
    </row>
    <row r="24" spans="2:12" ht="31" customHeight="1" x14ac:dyDescent="0.25">
      <c r="B24" s="42" t="s">
        <v>20</v>
      </c>
      <c r="C24" s="96">
        <v>0.47499999999999998</v>
      </c>
      <c r="D24" s="43"/>
      <c r="E24" s="43"/>
      <c r="F24" s="96">
        <v>0.72099999999999997</v>
      </c>
      <c r="G24" s="44"/>
      <c r="H24" s="44"/>
      <c r="I24" s="44"/>
      <c r="J24" s="45"/>
      <c r="K24" s="46"/>
      <c r="L24" s="47"/>
    </row>
    <row r="25" spans="2:12" ht="12" customHeight="1" x14ac:dyDescent="0.25">
      <c r="C25" s="48"/>
      <c r="F25" s="48"/>
      <c r="G25" s="48"/>
      <c r="H25" s="48"/>
      <c r="I25" s="48"/>
      <c r="J25" s="48"/>
      <c r="K25" s="49"/>
      <c r="L25" s="48"/>
    </row>
    <row r="26" spans="2:12" ht="28" customHeight="1" x14ac:dyDescent="0.25">
      <c r="B26" s="36" t="s">
        <v>21</v>
      </c>
      <c r="C26" s="38"/>
      <c r="D26" s="38"/>
      <c r="E26" s="38"/>
      <c r="F26" s="38"/>
      <c r="G26" s="38"/>
      <c r="H26" s="38"/>
      <c r="I26" s="38"/>
      <c r="J26" s="38"/>
      <c r="K26" s="38"/>
      <c r="L26" s="48"/>
    </row>
    <row r="27" spans="2:12" ht="9" customHeight="1" x14ac:dyDescent="0.25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48"/>
    </row>
    <row r="28" spans="2:12" ht="29" customHeight="1" x14ac:dyDescent="0.25">
      <c r="B28" s="17" t="s">
        <v>22</v>
      </c>
      <c r="C28" s="25">
        <f>C15*8*C12</f>
        <v>115200</v>
      </c>
      <c r="D28" s="17"/>
      <c r="E28" s="17"/>
      <c r="F28" s="25">
        <f>F15*8*F12</f>
        <v>144000</v>
      </c>
      <c r="G28" s="25"/>
      <c r="H28" s="25"/>
      <c r="I28" s="25"/>
      <c r="J28" s="25"/>
      <c r="K28" s="27"/>
      <c r="L28" s="29"/>
    </row>
    <row r="29" spans="2:12" ht="29" customHeight="1" x14ac:dyDescent="0.25">
      <c r="B29" s="2" t="s">
        <v>23</v>
      </c>
      <c r="C29" s="16">
        <f>C28*C24</f>
        <v>54720</v>
      </c>
      <c r="F29" s="16">
        <f>F28*F24</f>
        <v>103824</v>
      </c>
      <c r="G29" s="16"/>
      <c r="H29" s="16"/>
      <c r="I29" s="16"/>
      <c r="J29" s="16"/>
      <c r="K29" s="52"/>
      <c r="L29" s="29"/>
    </row>
    <row r="30" spans="2:12" ht="16" customHeight="1" x14ac:dyDescent="0.25">
      <c r="B30" s="53"/>
      <c r="C30" s="54"/>
      <c r="F30" s="54"/>
      <c r="G30" s="54"/>
      <c r="H30" s="54"/>
      <c r="I30" s="54"/>
      <c r="J30" s="54"/>
      <c r="K30" s="14"/>
      <c r="L30" s="29"/>
    </row>
    <row r="31" spans="2:12" x14ac:dyDescent="0.25">
      <c r="B31" s="17" t="s">
        <v>24</v>
      </c>
      <c r="C31" s="55">
        <f>C29*C16*(5*52)</f>
        <v>3556800</v>
      </c>
      <c r="D31" s="17"/>
      <c r="E31" s="17"/>
      <c r="F31" s="55">
        <f>F29*F16*(5*52)</f>
        <v>6748560</v>
      </c>
      <c r="G31" s="55"/>
      <c r="H31" s="55"/>
      <c r="I31" s="55"/>
      <c r="J31" s="55"/>
      <c r="K31" s="33"/>
      <c r="L31" s="34"/>
    </row>
    <row r="32" spans="2:12" x14ac:dyDescent="0.25">
      <c r="B32" s="2" t="s">
        <v>25</v>
      </c>
      <c r="C32" s="56">
        <f>C29*C17*'Background Notes'!C12*52</f>
        <v>1564992</v>
      </c>
      <c r="F32" s="56">
        <f>F29*F17*'Background Notes'!F12*52</f>
        <v>2969366.4</v>
      </c>
      <c r="H32" s="57"/>
      <c r="I32" s="56"/>
      <c r="J32" s="56"/>
      <c r="K32" s="35"/>
      <c r="L32" s="34"/>
    </row>
    <row r="33" spans="2:12" ht="26" x14ac:dyDescent="0.25">
      <c r="B33" s="17" t="s">
        <v>26</v>
      </c>
      <c r="C33" s="55">
        <f>'Background Notes'!C6*('Background Notes'!C$12*52)</f>
        <v>540800</v>
      </c>
      <c r="D33" s="17"/>
      <c r="E33" s="17"/>
      <c r="F33" s="55">
        <f>'Background Notes'!F6*('Background Notes'!F$12*52)</f>
        <v>270400</v>
      </c>
      <c r="G33" s="55"/>
      <c r="H33" s="55"/>
      <c r="I33" s="58">
        <f>C33-F33</f>
        <v>270400</v>
      </c>
      <c r="J33" s="58"/>
      <c r="K33" s="33" t="s">
        <v>27</v>
      </c>
      <c r="L33" s="34"/>
    </row>
    <row r="34" spans="2:12" x14ac:dyDescent="0.25">
      <c r="B34" s="2" t="s">
        <v>28</v>
      </c>
      <c r="C34" s="57">
        <f>C33/C31</f>
        <v>0.15204678362573099</v>
      </c>
      <c r="D34" s="57"/>
      <c r="E34" s="57"/>
      <c r="F34" s="57">
        <f>F33/F31</f>
        <v>4.0067807058098322E-2</v>
      </c>
      <c r="G34" s="56"/>
      <c r="H34" s="56"/>
      <c r="I34" s="56"/>
      <c r="J34" s="56"/>
      <c r="K34" s="35"/>
      <c r="L34" s="34"/>
    </row>
    <row r="35" spans="2:12" x14ac:dyDescent="0.25">
      <c r="B35" s="17" t="s">
        <v>29</v>
      </c>
      <c r="C35" s="55">
        <f>C31-C32-C33</f>
        <v>1451008</v>
      </c>
      <c r="D35" s="17"/>
      <c r="E35" s="17"/>
      <c r="F35" s="55">
        <f>F31-F32-F33</f>
        <v>3508793.6</v>
      </c>
      <c r="G35" s="55"/>
      <c r="H35" s="55"/>
      <c r="I35" s="55"/>
      <c r="J35" s="55"/>
      <c r="K35" s="33"/>
      <c r="L35" s="34"/>
    </row>
    <row r="36" spans="2:12" ht="30" customHeight="1" x14ac:dyDescent="0.25">
      <c r="B36" s="2" t="s">
        <v>30</v>
      </c>
      <c r="C36" s="59">
        <f>C35/C31</f>
        <v>0.40795321637426901</v>
      </c>
      <c r="F36" s="59">
        <f>F35/F31</f>
        <v>0.51993219294190174</v>
      </c>
      <c r="G36" s="13"/>
      <c r="H36" s="13"/>
      <c r="I36" s="13"/>
      <c r="J36" s="13"/>
      <c r="K36" s="14"/>
      <c r="L36" s="13"/>
    </row>
    <row r="37" spans="2:12" ht="17" customHeight="1" x14ac:dyDescent="0.25">
      <c r="C37" s="60"/>
      <c r="F37" s="60"/>
      <c r="G37" s="13"/>
      <c r="H37" s="13"/>
      <c r="I37" s="13"/>
      <c r="J37" s="13"/>
      <c r="K37" s="14"/>
      <c r="L37" s="13"/>
    </row>
    <row r="38" spans="2:12" x14ac:dyDescent="0.25">
      <c r="B38" s="8" t="s">
        <v>31</v>
      </c>
      <c r="L38" s="51"/>
    </row>
    <row r="39" spans="2:12" ht="10" customHeight="1" x14ac:dyDescent="0.25"/>
    <row r="40" spans="2:12" x14ac:dyDescent="0.25">
      <c r="B40" s="53" t="s">
        <v>32</v>
      </c>
      <c r="C40" s="47">
        <f>(F24-C24)/C24</f>
        <v>0.5178947368421053</v>
      </c>
    </row>
    <row r="41" spans="2:12" x14ac:dyDescent="0.25">
      <c r="B41" s="42" t="s">
        <v>33</v>
      </c>
      <c r="C41" s="61">
        <f>(F36-C36)/'Background Notes'!C9</f>
        <v>0.27448975047398505</v>
      </c>
      <c r="D41" s="17"/>
      <c r="E41" s="17"/>
      <c r="F41" s="62">
        <f>F35-C35</f>
        <v>2057785.6</v>
      </c>
      <c r="G41" s="62"/>
      <c r="H41" s="62"/>
      <c r="I41" s="62"/>
      <c r="J41" s="17"/>
      <c r="K41" s="17"/>
    </row>
    <row r="42" spans="2:12" ht="10" customHeight="1" x14ac:dyDescent="0.25">
      <c r="J42" s="63"/>
    </row>
    <row r="43" spans="2:12" ht="24" customHeight="1" x14ac:dyDescent="0.25">
      <c r="B43" s="64" t="s">
        <v>34</v>
      </c>
      <c r="C43" s="65">
        <f>C7/(('Background Notes'!F8-'Background Notes'!C8)*'Background Notes'!F13)</f>
        <v>252.69882343427807</v>
      </c>
    </row>
    <row r="44" spans="2:12" x14ac:dyDescent="0.25">
      <c r="B44" s="42" t="s">
        <v>35</v>
      </c>
      <c r="C44" s="66">
        <f>(F41-C7)/C7</f>
        <v>2.8892800000000045E-2</v>
      </c>
      <c r="D44" s="17"/>
      <c r="E44" s="17"/>
      <c r="F44" s="17"/>
      <c r="G44" s="17"/>
      <c r="H44" s="17"/>
      <c r="I44" s="17"/>
      <c r="J44" s="67"/>
      <c r="K44" s="17"/>
    </row>
    <row r="45" spans="2:12" s="53" customFormat="1" ht="10" customHeight="1" x14ac:dyDescent="0.25">
      <c r="J45" s="68"/>
    </row>
    <row r="46" spans="2:12" x14ac:dyDescent="0.25">
      <c r="B46" s="69" t="s">
        <v>36</v>
      </c>
      <c r="C46" s="70">
        <f>((F41*2)-C7)/C7</f>
        <v>1.0577856000000001</v>
      </c>
      <c r="D46" s="71"/>
      <c r="E46" s="71"/>
      <c r="F46" s="71"/>
      <c r="G46" s="71"/>
      <c r="H46" s="71"/>
      <c r="I46" s="71"/>
      <c r="J46" s="71"/>
      <c r="K46" s="71"/>
    </row>
    <row r="47" spans="2:12" ht="15" customHeight="1" x14ac:dyDescent="0.25">
      <c r="B47" s="72"/>
      <c r="C47" s="73"/>
    </row>
    <row r="48" spans="2:12" ht="42" customHeight="1" x14ac:dyDescent="0.25">
      <c r="B48" s="74" t="s">
        <v>37</v>
      </c>
      <c r="C48" s="75"/>
      <c r="D48" s="76"/>
      <c r="E48" s="76"/>
      <c r="F48" s="76"/>
      <c r="G48" s="76"/>
      <c r="H48" s="76"/>
      <c r="I48" s="76"/>
      <c r="J48" s="76"/>
      <c r="K48" s="76"/>
    </row>
    <row r="49" spans="2:12" s="79" customFormat="1" ht="42" customHeight="1" x14ac:dyDescent="0.2">
      <c r="B49" s="77" t="s">
        <v>38</v>
      </c>
      <c r="C49" s="77" t="s">
        <v>39</v>
      </c>
      <c r="D49" s="77"/>
      <c r="E49" s="77"/>
      <c r="F49" s="77" t="s">
        <v>40</v>
      </c>
      <c r="G49" s="77"/>
      <c r="H49" s="77"/>
      <c r="I49" s="77"/>
      <c r="J49" s="78"/>
      <c r="K49" s="77"/>
    </row>
    <row r="50" spans="2:12" s="80" customFormat="1" ht="31" customHeight="1" x14ac:dyDescent="0.25">
      <c r="J50" s="81"/>
    </row>
    <row r="51" spans="2:12" s="80" customFormat="1" ht="31" customHeight="1" x14ac:dyDescent="0.25"/>
    <row r="52" spans="2:12" s="80" customFormat="1" ht="31" customHeight="1" x14ac:dyDescent="0.25"/>
    <row r="53" spans="2:12" s="80" customFormat="1" ht="31" customHeight="1" x14ac:dyDescent="0.25"/>
    <row r="54" spans="2:12" s="80" customFormat="1" ht="31" customHeight="1" x14ac:dyDescent="0.25"/>
    <row r="55" spans="2:12" s="80" customFormat="1" ht="31" customHeight="1" x14ac:dyDescent="0.25"/>
    <row r="56" spans="2:12" s="80" customFormat="1" x14ac:dyDescent="0.25"/>
    <row r="57" spans="2:12" s="80" customFormat="1" x14ac:dyDescent="0.25"/>
    <row r="59" spans="2:12" x14ac:dyDescent="0.25">
      <c r="L59" s="16"/>
    </row>
    <row r="60" spans="2:12" x14ac:dyDescent="0.25">
      <c r="L60" s="16"/>
    </row>
    <row r="61" spans="2:12" x14ac:dyDescent="0.25">
      <c r="L61" s="16"/>
    </row>
    <row r="62" spans="2:12" x14ac:dyDescent="0.25">
      <c r="L62" s="16"/>
    </row>
    <row r="68" spans="6:12" x14ac:dyDescent="0.25">
      <c r="L68" s="84"/>
    </row>
    <row r="69" spans="6:12" x14ac:dyDescent="0.25">
      <c r="F69" s="85"/>
      <c r="G69" s="85"/>
      <c r="H69" s="85"/>
      <c r="I69" s="85"/>
      <c r="L69" s="86"/>
    </row>
  </sheetData>
  <sheetProtection algorithmName="SHA-512" hashValue="1hHIYKs+xjGsD2iWC5nXIoAgdW/sF0pqRp5FPBwWP0L+gmdhMF3JagqIo8jKFo/Vsi1BwGcOxn3ABVadwUgp/A==" saltValue="kzVF5OZl+jvn9mxVRdP9JQ==" spinCount="100000" sheet="1" objects="1" scenarios="1" selectLockedCells="1"/>
  <pageMargins left="0.7" right="0.7" top="0.75" bottom="0.75" header="0.3" footer="0.3"/>
  <pageSetup scale="42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967F-F1EF-A44D-A75B-64DCA2E4577F}">
  <dimension ref="B3:G14"/>
  <sheetViews>
    <sheetView workbookViewId="0">
      <selection activeCell="C11" sqref="C11"/>
    </sheetView>
  </sheetViews>
  <sheetFormatPr baseColWidth="10" defaultRowHeight="16" x14ac:dyDescent="0.2"/>
  <cols>
    <col min="2" max="2" width="74.1640625" bestFit="1" customWidth="1"/>
    <col min="3" max="3" width="25.5" customWidth="1"/>
    <col min="6" max="6" width="21.83203125" customWidth="1"/>
  </cols>
  <sheetData>
    <row r="3" spans="2:7" ht="25" x14ac:dyDescent="0.25">
      <c r="B3" s="82" t="s">
        <v>41</v>
      </c>
      <c r="C3" s="83"/>
      <c r="D3" s="83"/>
      <c r="E3" s="83"/>
      <c r="F3" s="83"/>
      <c r="G3" s="83"/>
    </row>
    <row r="4" spans="2:7" ht="25" x14ac:dyDescent="0.25">
      <c r="B4" s="42" t="s">
        <v>42</v>
      </c>
      <c r="C4" s="32">
        <f>'Weber ROI Calc'!C29*'Weber ROI Calc'!C16</f>
        <v>13680</v>
      </c>
      <c r="D4" s="17"/>
      <c r="E4" s="17"/>
      <c r="F4" s="32">
        <f>'Weber ROI Calc'!F29*'Weber ROI Calc'!F16</f>
        <v>25956</v>
      </c>
      <c r="G4" s="32"/>
    </row>
    <row r="5" spans="2:7" ht="25" x14ac:dyDescent="0.25">
      <c r="B5" s="53" t="s">
        <v>43</v>
      </c>
      <c r="C5" s="34">
        <f>'Weber ROI Calc'!C17*'Weber ROI Calc'!C29</f>
        <v>6019.2</v>
      </c>
      <c r="D5" s="2"/>
      <c r="E5" s="2"/>
      <c r="F5" s="34">
        <f>'Weber ROI Calc'!F17*'Weber ROI Calc'!F29</f>
        <v>11420.64</v>
      </c>
      <c r="G5" s="34"/>
    </row>
    <row r="6" spans="2:7" ht="25" x14ac:dyDescent="0.25">
      <c r="B6" s="42" t="s">
        <v>44</v>
      </c>
      <c r="C6" s="32">
        <f>(('Weber ROI Calc'!C18*'Weber ROI Calc'!C13)+('Weber ROI Calc'!C19*'Weber ROI Calc'!C14))*('Weber ROI Calc'!C12*C11)</f>
        <v>2080</v>
      </c>
      <c r="D6" s="17"/>
      <c r="E6" s="17"/>
      <c r="F6" s="32">
        <f>(('Weber ROI Calc'!F18*'Weber ROI Calc'!F13)+('Weber ROI Calc'!F19*'Weber ROI Calc'!F14))*('Weber ROI Calc'!F12*F11)</f>
        <v>1040</v>
      </c>
      <c r="G6" s="32"/>
    </row>
    <row r="7" spans="2:7" ht="25" x14ac:dyDescent="0.25">
      <c r="B7" s="2"/>
      <c r="C7" s="28"/>
      <c r="D7" s="2"/>
      <c r="E7" s="2"/>
      <c r="F7" s="28"/>
      <c r="G7" s="28"/>
    </row>
    <row r="8" spans="2:7" ht="25" x14ac:dyDescent="0.25">
      <c r="B8" s="42" t="s">
        <v>45</v>
      </c>
      <c r="C8" s="32">
        <f>C4-C6-C5</f>
        <v>5580.8</v>
      </c>
      <c r="D8" s="17"/>
      <c r="E8" s="17"/>
      <c r="F8" s="32">
        <f>F4-F6-F5</f>
        <v>13495.36</v>
      </c>
      <c r="G8" s="32"/>
    </row>
    <row r="9" spans="2:7" ht="25" x14ac:dyDescent="0.25">
      <c r="B9" s="5" t="s">
        <v>46</v>
      </c>
      <c r="C9" s="57">
        <f>C8/C4</f>
        <v>0.40795321637426901</v>
      </c>
      <c r="D9" s="2"/>
      <c r="E9" s="2"/>
      <c r="F9" s="57">
        <f>F8/F4</f>
        <v>0.51993219294190174</v>
      </c>
      <c r="G9" s="57"/>
    </row>
    <row r="10" spans="2:7" ht="25" x14ac:dyDescent="0.25">
      <c r="B10" s="2"/>
      <c r="C10" s="2"/>
      <c r="D10" s="2"/>
      <c r="E10" s="2"/>
      <c r="F10" s="2"/>
      <c r="G10" s="2"/>
    </row>
    <row r="11" spans="2:7" ht="25" x14ac:dyDescent="0.25">
      <c r="B11" s="17" t="s">
        <v>47</v>
      </c>
      <c r="C11" s="90">
        <v>8</v>
      </c>
      <c r="D11" s="17"/>
      <c r="E11" s="17"/>
      <c r="F11" s="25">
        <f>C11</f>
        <v>8</v>
      </c>
      <c r="G11" s="25"/>
    </row>
    <row r="12" spans="2:7" ht="25" x14ac:dyDescent="0.25">
      <c r="B12" s="2" t="s">
        <v>48</v>
      </c>
      <c r="C12" s="87">
        <v>5</v>
      </c>
      <c r="D12" s="2"/>
      <c r="E12" s="2"/>
      <c r="F12" s="16">
        <f>C12</f>
        <v>5</v>
      </c>
      <c r="G12" s="16"/>
    </row>
    <row r="13" spans="2:7" ht="25" x14ac:dyDescent="0.25">
      <c r="B13" s="17" t="s">
        <v>49</v>
      </c>
      <c r="C13" s="90">
        <v>1</v>
      </c>
      <c r="D13" s="17"/>
      <c r="E13" s="17"/>
      <c r="F13" s="25">
        <f>C13</f>
        <v>1</v>
      </c>
      <c r="G13" s="25"/>
    </row>
    <row r="14" spans="2:7" ht="25" x14ac:dyDescent="0.25">
      <c r="B14" s="2" t="s">
        <v>50</v>
      </c>
      <c r="C14" s="16">
        <f>'Weber ROI Calc'!C12*C11</f>
        <v>16</v>
      </c>
      <c r="D14" s="2"/>
      <c r="E14" s="2"/>
      <c r="F14" s="16">
        <f>'Weber ROI Calc'!F12*F11</f>
        <v>16</v>
      </c>
      <c r="G14" s="16"/>
    </row>
  </sheetData>
  <sheetProtection algorithmName="SHA-512" hashValue="w9Wg/u9IesxmRZbZ3edMK22SVc4HRyK6MRHMirjahgfrq//7exfp9LyZMDrTREgpgpMWPxwERiq+hdeHGHF/JQ==" saltValue="ifIo0q9c8mtpbF5S/oSCVA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Weber ROI Calc</vt:lpstr>
      <vt:lpstr>Background Notes</vt:lpstr>
      <vt:lpstr>'Weber ROI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Engel</dc:creator>
  <cp:lastModifiedBy>Benjamin Engel</cp:lastModifiedBy>
  <dcterms:created xsi:type="dcterms:W3CDTF">2023-03-22T14:16:15Z</dcterms:created>
  <dcterms:modified xsi:type="dcterms:W3CDTF">2023-07-10T14:15:10Z</dcterms:modified>
</cp:coreProperties>
</file>